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<sst xmlns="http://schemas.openxmlformats.org/spreadsheetml/2006/main" count="60" uniqueCount="60">
  <si>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National Party Transfers to State/Local Party Committees</t>
  </si>
  <si>
    <t>January 1, 2003 - October 13,2004</t>
  </si>
  <si>
    <t>State</t>
  </si>
  <si>
    <t>RNC</t>
  </si>
  <si>
    <t>DNC</t>
  </si>
  <si>
    <t>NRSC</t>
  </si>
  <si>
    <t>DSCC</t>
  </si>
  <si>
    <t>NRCC</t>
  </si>
  <si>
    <t>DCCC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</si>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</sst>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5" fontId="0" fillId="0" borderId="0" xfId="0" applyNumberFormat="1" applyAlignment="1">
      <alignment/>
    </xf>
    <xf numFmtId="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5" fontId="0" fillId="0" borderId="0" xfId="0" applyNumberFormat="1" applyAlignment="1">
      <alignment horizontal="right"/>
    </xf>
    <xf numFmtId="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5" fontId="0" fillId="0" borderId="2" xfId="0" applyNumberFormat="1" applyBorder="1" applyAlignment="1">
      <alignment horizontal="center"/>
    </xf>
    <xf numFmtId="5" fontId="0" fillId="0" borderId="3" xfId="0" applyNumberFormat="1" applyBorder="1" applyAlignment="1">
      <alignment horizontal="center"/>
    </xf>
    <xf numFmtId="0" fontId="0" fillId="0" borderId="1" xfId="0" applyBorder="1" applyAlignment="1">
      <alignment/>
    </xf>
    <xf numFmtId="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33">
      <selection activeCell="A1" sqref="A1:G57"/>
    </sheetView>
  </sheetViews>
  <sheetFormatPr defaultColWidth="9.140625" defaultRowHeight="12.75"/>
  <cols>
    <col min="1" max="1" width="13.421875" style="0" bestFit="1" customWidth="1"/>
    <col min="2" max="7" width="12.140625" style="0" customWidth="1"/>
  </cols>
  <sheetData>
    <row r="1" spans="2:7" ht="12.75">
      <c r="B1" s="1"/>
      <c r="C1" s="1"/>
      <c r="D1" s="2" t="s">
        <v>0</v>
      </c>
      <c r="E1" s="1"/>
      <c r="F1" s="1"/>
      <c r="G1" s="1"/>
    </row>
    <row r="2" spans="2:7" ht="12.75">
      <c r="B2" s="1"/>
      <c r="C2" s="1"/>
      <c r="D2" s="3" t="s">
        <v>1</v>
      </c>
      <c r="E2" s="1"/>
      <c r="F2" s="1"/>
      <c r="G2" s="1"/>
    </row>
    <row r="3" spans="2:7" ht="12.75">
      <c r="B3" s="4"/>
      <c r="C3" s="5"/>
      <c r="D3" s="4"/>
      <c r="E3" s="5"/>
      <c r="F3" s="2"/>
      <c r="G3" s="2"/>
    </row>
    <row r="4" spans="1:7" ht="12.75">
      <c r="A4" s="6" t="s">
        <v>2</v>
      </c>
      <c r="B4" s="7" t="s">
        <v>3</v>
      </c>
      <c r="C4" s="8" t="s">
        <v>4</v>
      </c>
      <c r="D4" s="7" t="s">
        <v>5</v>
      </c>
      <c r="E4" s="8" t="s">
        <v>6</v>
      </c>
      <c r="F4" s="7" t="s">
        <v>7</v>
      </c>
      <c r="G4" s="7" t="s">
        <v>8</v>
      </c>
    </row>
    <row r="5" spans="3:7" ht="12.75">
      <c r="C5" s="9"/>
      <c r="D5" s="1"/>
      <c r="E5" s="5"/>
      <c r="F5" s="1"/>
      <c r="G5" s="1"/>
    </row>
    <row r="6" spans="1:7" ht="12.75">
      <c r="A6" t="s">
        <v>9</v>
      </c>
      <c r="B6" s="1">
        <f>100000</f>
        <v>100000</v>
      </c>
      <c r="C6" s="5">
        <f>23990+2291</f>
        <v>26281</v>
      </c>
      <c r="D6" s="1"/>
      <c r="E6" s="5"/>
      <c r="F6" s="1"/>
      <c r="G6" s="1"/>
    </row>
    <row r="7" spans="1:7" ht="12.75">
      <c r="A7" t="s">
        <v>10</v>
      </c>
      <c r="B7" s="1">
        <v>10000</v>
      </c>
      <c r="C7" s="5">
        <f>9497+1532</f>
        <v>11029</v>
      </c>
      <c r="D7" s="1">
        <f>11000+35150+52640</f>
        <v>98790</v>
      </c>
      <c r="E7" s="5"/>
      <c r="F7" s="1"/>
      <c r="G7" s="1"/>
    </row>
    <row r="8" spans="1:7" ht="12.75">
      <c r="A8" t="s">
        <v>11</v>
      </c>
      <c r="B8" s="1">
        <f>270527+157370+42630</f>
        <v>470527</v>
      </c>
      <c r="C8" s="5">
        <f>393225+16725+6290+94790+25392+77446</f>
        <v>613868</v>
      </c>
      <c r="D8" s="1"/>
      <c r="E8" s="5"/>
      <c r="F8" s="1"/>
      <c r="G8" s="1">
        <f>-5000</f>
        <v>-5000</v>
      </c>
    </row>
    <row r="9" spans="1:7" ht="12.75">
      <c r="A9" t="s">
        <v>12</v>
      </c>
      <c r="B9" s="1">
        <v>583897</v>
      </c>
      <c r="C9" s="5">
        <f>166633+2923+5213+34106+11441+26142+69085</f>
        <v>315543</v>
      </c>
      <c r="D9" s="1"/>
      <c r="E9" s="5">
        <f>7500</f>
        <v>7500</v>
      </c>
      <c r="F9" s="1"/>
      <c r="G9" s="1"/>
    </row>
    <row r="10" spans="1:7" ht="12.75">
      <c r="A10" t="s">
        <v>13</v>
      </c>
      <c r="B10" s="1">
        <f>1056000+200000</f>
        <v>1256000</v>
      </c>
      <c r="C10" s="5">
        <f>235294+5000+124169+24141+2000</f>
        <v>390604</v>
      </c>
      <c r="D10" s="1"/>
      <c r="E10" s="5"/>
      <c r="F10" s="1">
        <f>32500</f>
        <v>32500</v>
      </c>
      <c r="G10" s="1">
        <f>155259</f>
        <v>155259</v>
      </c>
    </row>
    <row r="11" spans="1:7" ht="12.75">
      <c r="A11" t="s">
        <v>14</v>
      </c>
      <c r="B11" s="1">
        <f>87535+60000+70000+22575+339049+2400000</f>
        <v>2979159</v>
      </c>
      <c r="C11" s="5">
        <f>243605+20961+20961+103603+39943+207160+146428+11817+163272</f>
        <v>957750</v>
      </c>
      <c r="D11" s="1"/>
      <c r="E11" s="5">
        <f>175000</f>
        <v>175000</v>
      </c>
      <c r="F11" s="1">
        <f>200000+400000</f>
        <v>600000</v>
      </c>
      <c r="G11" s="1">
        <f>25000+7500+8000+8500</f>
        <v>49000</v>
      </c>
    </row>
    <row r="12" spans="1:7" ht="12.75">
      <c r="A12" t="s">
        <v>15</v>
      </c>
      <c r="B12" s="1">
        <f>165000+78000</f>
        <v>243000</v>
      </c>
      <c r="C12" s="5">
        <f>43663+7163+2000+6000</f>
        <v>58826</v>
      </c>
      <c r="D12" s="1"/>
      <c r="E12" s="5"/>
      <c r="F12" s="1">
        <f>100000+100000</f>
        <v>200000</v>
      </c>
      <c r="G12" s="1"/>
    </row>
    <row r="13" spans="1:7" ht="12.75">
      <c r="A13" t="s">
        <v>16</v>
      </c>
      <c r="B13" s="1">
        <v>17000</v>
      </c>
      <c r="C13" s="5">
        <f>56713+1792</f>
        <v>58505</v>
      </c>
      <c r="D13" s="1"/>
      <c r="E13" s="5"/>
      <c r="F13" s="1"/>
      <c r="G13" s="1"/>
    </row>
    <row r="14" spans="1:7" ht="12.75">
      <c r="A14" t="s">
        <v>17</v>
      </c>
      <c r="B14" s="1">
        <f>1322422+760000+3722534+277466</f>
        <v>6082422</v>
      </c>
      <c r="C14" s="5">
        <f>468875+124761+31055+31055+163140+98468+459987+459987+1924160+600000</f>
        <v>4361488</v>
      </c>
      <c r="D14" s="1"/>
      <c r="E14" s="5"/>
      <c r="F14" s="1">
        <f>100000+5000</f>
        <v>105000</v>
      </c>
      <c r="G14" s="1"/>
    </row>
    <row r="15" spans="1:7" ht="12.75">
      <c r="A15" t="s">
        <v>18</v>
      </c>
      <c r="B15" s="1">
        <v>0</v>
      </c>
      <c r="C15" s="5">
        <f>23806+2706+2000</f>
        <v>28512</v>
      </c>
      <c r="D15" s="1"/>
      <c r="E15" s="5"/>
      <c r="F15" s="1">
        <f>100000</f>
        <v>100000</v>
      </c>
      <c r="G15" s="1"/>
    </row>
    <row r="16" spans="1:7" ht="12.75">
      <c r="A16" t="s">
        <v>19</v>
      </c>
      <c r="B16" s="1">
        <f>200000</f>
        <v>200000</v>
      </c>
      <c r="C16" s="5">
        <f>21586+5000+5456</f>
        <v>32042</v>
      </c>
      <c r="D16" s="1"/>
      <c r="E16" s="5"/>
      <c r="F16" s="1"/>
      <c r="G16" s="1"/>
    </row>
    <row r="17" spans="1:7" ht="12.75">
      <c r="A17" t="s">
        <v>20</v>
      </c>
      <c r="B17" s="1">
        <f>10000</f>
        <v>10000</v>
      </c>
      <c r="C17" s="5">
        <f>26676+2000+3409</f>
        <v>32085</v>
      </c>
      <c r="D17" s="1"/>
      <c r="E17" s="5"/>
      <c r="F17" s="1"/>
      <c r="G17" s="1"/>
    </row>
    <row r="18" spans="1:7" ht="12.75">
      <c r="A18" t="s">
        <v>21</v>
      </c>
      <c r="B18" s="1">
        <f>400000</f>
        <v>400000</v>
      </c>
      <c r="C18" s="5">
        <f>75809+7261+2000</f>
        <v>85070</v>
      </c>
      <c r="D18" s="1"/>
      <c r="E18" s="5"/>
      <c r="F18" s="1">
        <f>150000</f>
        <v>150000</v>
      </c>
      <c r="G18" s="1"/>
    </row>
    <row r="19" spans="1:7" ht="12.75">
      <c r="A19" t="s">
        <v>22</v>
      </c>
      <c r="B19" s="1">
        <f>3222+100000+200000</f>
        <v>303222</v>
      </c>
      <c r="C19" s="5">
        <f>54359+2000+6835</f>
        <v>63194</v>
      </c>
      <c r="D19" s="1"/>
      <c r="E19" s="5"/>
      <c r="F19" s="1"/>
      <c r="G19" s="1"/>
    </row>
    <row r="20" spans="1:7" ht="12.75">
      <c r="A20" t="s">
        <v>23</v>
      </c>
      <c r="B20" s="1">
        <f>552907+41798+58202+100000</f>
        <v>752907</v>
      </c>
      <c r="C20" s="5">
        <f>335393+2468+2468+435642+80202+1886+8173+168314+59000+151482+21935+20000+40000+243540+379312</f>
        <v>1949815</v>
      </c>
      <c r="D20" s="1"/>
      <c r="E20" s="5"/>
      <c r="F20" s="1"/>
      <c r="G20" s="1"/>
    </row>
    <row r="21" spans="1:7" ht="12.75">
      <c r="A21" t="s">
        <v>24</v>
      </c>
      <c r="B21" s="1">
        <v>0</v>
      </c>
      <c r="C21" s="5">
        <f>33652+2000+3746</f>
        <v>39398</v>
      </c>
      <c r="D21" s="1"/>
      <c r="E21" s="5">
        <f>32670</f>
        <v>32670</v>
      </c>
      <c r="F21" s="1"/>
      <c r="G21" s="1"/>
    </row>
    <row r="22" spans="1:7" ht="12.75">
      <c r="A22" t="s">
        <v>25</v>
      </c>
      <c r="B22" s="1">
        <v>693429</v>
      </c>
      <c r="C22" s="5">
        <f>266119+11958+4180+2000</f>
        <v>284257</v>
      </c>
      <c r="D22" s="1"/>
      <c r="E22" s="5">
        <f>7500</f>
        <v>7500</v>
      </c>
      <c r="F22" s="1">
        <f>127000+325000</f>
        <v>452000</v>
      </c>
      <c r="G22" s="1">
        <f>55000</f>
        <v>55000</v>
      </c>
    </row>
    <row r="23" spans="1:7" ht="12.75">
      <c r="A23" t="s">
        <v>26</v>
      </c>
      <c r="B23" s="1">
        <f>640000+300000</f>
        <v>940000</v>
      </c>
      <c r="C23" s="5">
        <f>417615+1917+4980+4800+35950+18906+2150+39096+42250</f>
        <v>567664</v>
      </c>
      <c r="D23" s="1">
        <v>138940</v>
      </c>
      <c r="E23" s="5">
        <f>46500+50000</f>
        <v>96500</v>
      </c>
      <c r="F23" s="1">
        <f>100000+50000</f>
        <v>150000</v>
      </c>
      <c r="G23" s="1"/>
    </row>
    <row r="24" spans="1:7" ht="12.75">
      <c r="A24" t="s">
        <v>27</v>
      </c>
      <c r="B24" s="1">
        <v>213493</v>
      </c>
      <c r="C24" s="5">
        <f>111010+33782+153537+188600+132020+3254+3254+172139+172139</f>
        <v>969735</v>
      </c>
      <c r="D24" s="1"/>
      <c r="E24" s="5"/>
      <c r="F24" s="1"/>
      <c r="G24" s="1"/>
    </row>
    <row r="25" spans="1:7" ht="12.75">
      <c r="A25" t="s">
        <v>28</v>
      </c>
      <c r="B25" s="1">
        <f>200000</f>
        <v>200000</v>
      </c>
      <c r="C25" s="5">
        <f>68658+6243+68480+2000+7250</f>
        <v>152631</v>
      </c>
      <c r="D25" s="1"/>
      <c r="E25" s="5"/>
      <c r="F25" s="1"/>
      <c r="G25" s="1"/>
    </row>
    <row r="26" spans="1:7" ht="12.75">
      <c r="A26" t="s">
        <v>29</v>
      </c>
      <c r="B26" s="1">
        <v>0</v>
      </c>
      <c r="C26" s="5">
        <f>29936+3161+5000+9440</f>
        <v>47537</v>
      </c>
      <c r="D26" s="1"/>
      <c r="E26" s="5"/>
      <c r="F26" s="1"/>
      <c r="G26" s="1"/>
    </row>
    <row r="27" spans="1:7" ht="12.75">
      <c r="A27" t="s">
        <v>30</v>
      </c>
      <c r="B27" s="1">
        <f>607641+141592+252569+30000</f>
        <v>1031802</v>
      </c>
      <c r="C27" s="5">
        <f>433011+582732+613906+12731+12731+163395+5131+21590+328329+597193+394721</f>
        <v>3165470</v>
      </c>
      <c r="D27" s="1"/>
      <c r="E27" s="5"/>
      <c r="F27" s="1"/>
      <c r="G27" s="1"/>
    </row>
    <row r="28" spans="1:7" ht="12.75">
      <c r="A28" t="s">
        <v>31</v>
      </c>
      <c r="B28" s="1">
        <f>10000+92709</f>
        <v>102709</v>
      </c>
      <c r="C28" s="5">
        <f>230011+6167+6167+211945+227203+124954+124954+100000-124954+147098+95801</f>
        <v>1149346</v>
      </c>
      <c r="D28" s="1"/>
      <c r="E28" s="5"/>
      <c r="F28" s="1">
        <f>100000</f>
        <v>100000</v>
      </c>
      <c r="G28" s="1"/>
    </row>
    <row r="29" spans="1:7" ht="12.75">
      <c r="A29" t="s">
        <v>32</v>
      </c>
      <c r="B29" s="1">
        <v>767389</v>
      </c>
      <c r="C29" s="5">
        <f>85607+1086</f>
        <v>86693</v>
      </c>
      <c r="D29" s="1"/>
      <c r="E29" s="5"/>
      <c r="F29" s="1"/>
      <c r="G29" s="1"/>
    </row>
    <row r="30" spans="1:7" ht="12.75">
      <c r="A30" t="s">
        <v>33</v>
      </c>
      <c r="B30" s="1">
        <f>371651+200000</f>
        <v>571651</v>
      </c>
      <c r="C30" s="5">
        <f>379046+5476+5476+231172+70000+117839+77058+31631+117000</f>
        <v>1034698</v>
      </c>
      <c r="D30" s="1"/>
      <c r="E30" s="5"/>
      <c r="F30" s="1">
        <f>100000</f>
        <v>100000</v>
      </c>
      <c r="G30" s="1"/>
    </row>
    <row r="31" spans="1:7" ht="12.75">
      <c r="A31" t="s">
        <v>34</v>
      </c>
      <c r="B31" s="1">
        <f>5400+75000</f>
        <v>80400</v>
      </c>
      <c r="C31" s="5">
        <f>29936+2000+2682</f>
        <v>34618</v>
      </c>
      <c r="D31" s="1"/>
      <c r="E31" s="5"/>
      <c r="F31" s="1"/>
      <c r="G31" s="1"/>
    </row>
    <row r="32" spans="1:7" ht="12.75">
      <c r="A32" t="s">
        <v>35</v>
      </c>
      <c r="B32" s="1">
        <f>75000</f>
        <v>75000</v>
      </c>
      <c r="C32" s="5">
        <f>21826+3164+2000</f>
        <v>26990</v>
      </c>
      <c r="D32" s="1"/>
      <c r="E32" s="5"/>
      <c r="F32" s="1">
        <f>100000+100000</f>
        <v>200000</v>
      </c>
      <c r="G32" s="1"/>
    </row>
    <row r="33" spans="1:7" ht="12.75">
      <c r="A33" t="s">
        <v>36</v>
      </c>
      <c r="B33" s="1">
        <f>172670-10000</f>
        <v>162670</v>
      </c>
      <c r="C33" s="5">
        <f>251587+4782+4782+130001+130001+207199+199850+322982+18464</f>
        <v>1269648</v>
      </c>
      <c r="D33" s="1"/>
      <c r="E33" s="5">
        <f>5000</f>
        <v>5000</v>
      </c>
      <c r="F33" s="1">
        <f>100000+50000</f>
        <v>150000</v>
      </c>
      <c r="G33" s="1">
        <f>25000</f>
        <v>25000</v>
      </c>
    </row>
    <row r="34" spans="1:7" ht="12.75">
      <c r="A34" t="s">
        <v>37</v>
      </c>
      <c r="B34" s="1">
        <v>341870</v>
      </c>
      <c r="C34" s="5">
        <f>232484+4686+4686+11254+60233+127059+177401+177401+82256+10250+210584</f>
        <v>1098294</v>
      </c>
      <c r="D34" s="1"/>
      <c r="E34" s="5"/>
      <c r="F34" s="1"/>
      <c r="G34" s="1"/>
    </row>
    <row r="35" spans="1:7" ht="12.75">
      <c r="A35" t="s">
        <v>38</v>
      </c>
      <c r="B35" s="1">
        <f>350000+150000</f>
        <v>500000</v>
      </c>
      <c r="C35" s="5">
        <f>67944+2420+2000</f>
        <v>72364</v>
      </c>
      <c r="D35" s="1"/>
      <c r="E35" s="5"/>
      <c r="F35" s="1"/>
      <c r="G35" s="1"/>
    </row>
    <row r="36" spans="1:7" ht="12.75">
      <c r="A36" t="s">
        <v>39</v>
      </c>
      <c r="B36" s="1">
        <f>126950+1000+5500</f>
        <v>133450</v>
      </c>
      <c r="C36" s="5">
        <f>344775+9340+9340+220775+225736+156406+262920+104578</f>
        <v>1333870</v>
      </c>
      <c r="D36" s="1"/>
      <c r="E36" s="5"/>
      <c r="F36" s="1">
        <f>150000+150000</f>
        <v>300000</v>
      </c>
      <c r="G36" s="1"/>
    </row>
    <row r="37" spans="1:7" ht="12.75">
      <c r="A37" t="s">
        <v>40</v>
      </c>
      <c r="B37" s="1">
        <v>17000</v>
      </c>
      <c r="C37" s="5">
        <f>136492+2000+4202</f>
        <v>142694</v>
      </c>
      <c r="D37" s="1"/>
      <c r="E37" s="5"/>
      <c r="F37" s="1">
        <f>200000+100000</f>
        <v>300000</v>
      </c>
      <c r="G37" s="1"/>
    </row>
    <row r="38" spans="1:7" ht="12.75">
      <c r="A38" t="s">
        <v>41</v>
      </c>
      <c r="B38" s="1">
        <f>102800+46000+36000</f>
        <v>184800</v>
      </c>
      <c r="C38" s="5">
        <f>159901+18886+21879+77578+30000+103403+59596</f>
        <v>471243</v>
      </c>
      <c r="D38" s="1"/>
      <c r="E38" s="5">
        <f>380000+2600+200000</f>
        <v>582600</v>
      </c>
      <c r="F38" s="1"/>
      <c r="G38" s="1">
        <f>10000</f>
        <v>10000</v>
      </c>
    </row>
    <row r="39" spans="1:7" ht="12.75">
      <c r="A39" t="s">
        <v>42</v>
      </c>
      <c r="B39" s="1">
        <f>3055+15000</f>
        <v>18055</v>
      </c>
      <c r="C39" s="5">
        <f>11648+5000</f>
        <v>16648</v>
      </c>
      <c r="D39" s="1"/>
      <c r="E39" s="5"/>
      <c r="F39" s="1"/>
      <c r="G39" s="1"/>
    </row>
    <row r="40" spans="1:7" ht="12.75">
      <c r="A40" t="s">
        <v>43</v>
      </c>
      <c r="B40" s="1">
        <f>425158+49042+36279+412108+139209+112923</f>
        <v>1174719</v>
      </c>
      <c r="C40" s="5">
        <f>761082+126590+4307+227446+364888+328696+20611+20611+110000+557448+104440+698923</f>
        <v>3325042</v>
      </c>
      <c r="D40" s="1"/>
      <c r="E40" s="5"/>
      <c r="F40" s="1"/>
      <c r="G40" s="1"/>
    </row>
    <row r="41" spans="1:7" ht="12.75">
      <c r="A41" t="s">
        <v>44</v>
      </c>
      <c r="B41" s="1">
        <f>58448+100000</f>
        <v>158448</v>
      </c>
      <c r="C41" s="5">
        <f>37947+4595+2000+4000</f>
        <v>48542</v>
      </c>
      <c r="D41" s="1">
        <f>22650+101250+247898</f>
        <v>371798</v>
      </c>
      <c r="E41" s="5"/>
      <c r="F41" s="1"/>
      <c r="G41" s="1"/>
    </row>
    <row r="42" spans="1:7" ht="12.75">
      <c r="A42" t="s">
        <v>45</v>
      </c>
      <c r="B42" s="1">
        <f>164978+67816+67128</f>
        <v>299922</v>
      </c>
      <c r="C42" s="5">
        <f>297761-10041+19565+19565+263002+154750+48211+91511+232127</f>
        <v>1116451</v>
      </c>
      <c r="D42" s="1"/>
      <c r="E42" s="5"/>
      <c r="F42" s="1"/>
      <c r="G42" s="1"/>
    </row>
    <row r="43" spans="1:7" ht="12.75">
      <c r="A43" t="s">
        <v>46</v>
      </c>
      <c r="B43" s="1">
        <f>1200741+124147+108552+563379</f>
        <v>1996819</v>
      </c>
      <c r="C43" s="5">
        <f>498062+170286-7488+15492+15492+204343+496835+133547+802588+103619+227851</f>
        <v>2660627</v>
      </c>
      <c r="D43" s="1"/>
      <c r="E43" s="5"/>
      <c r="F43" s="1">
        <f>200000+400000</f>
        <v>600000</v>
      </c>
      <c r="G43" s="1"/>
    </row>
    <row r="44" spans="1:7" ht="12.75">
      <c r="A44" t="s">
        <v>47</v>
      </c>
      <c r="B44" s="1">
        <f>15000</f>
        <v>15000</v>
      </c>
      <c r="C44" s="5">
        <f>5452+5000+130+2000+9702+5000</f>
        <v>27284</v>
      </c>
      <c r="D44" s="1"/>
      <c r="E44" s="5"/>
      <c r="F44" s="1"/>
      <c r="G44" s="1"/>
    </row>
    <row r="45" spans="1:7" ht="12.75">
      <c r="A45" t="s">
        <v>48</v>
      </c>
      <c r="B45" s="1">
        <f>10000+120000+180000</f>
        <v>310000</v>
      </c>
      <c r="C45" s="5">
        <f>35425+2808</f>
        <v>38233</v>
      </c>
      <c r="D45" s="1">
        <f>162503</f>
        <v>162503</v>
      </c>
      <c r="E45" s="5"/>
      <c r="F45" s="1"/>
      <c r="G45" s="1"/>
    </row>
    <row r="46" spans="1:7" ht="12.75">
      <c r="A46" t="s">
        <v>49</v>
      </c>
      <c r="B46" s="1">
        <v>84558</v>
      </c>
      <c r="C46" s="5">
        <f>21417+1699</f>
        <v>23116</v>
      </c>
      <c r="D46" s="1">
        <f>246222+51812</f>
        <v>298034</v>
      </c>
      <c r="E46" s="5"/>
      <c r="F46" s="1">
        <f>200000+385000</f>
        <v>585000</v>
      </c>
      <c r="G46" s="1"/>
    </row>
    <row r="47" spans="1:7" ht="12.75">
      <c r="A47" t="s">
        <v>50</v>
      </c>
      <c r="B47" s="1">
        <f>250000</f>
        <v>250000</v>
      </c>
      <c r="C47" s="5">
        <f>106392+5000+10104+2000</f>
        <v>123496</v>
      </c>
      <c r="D47" s="1"/>
      <c r="E47" s="5"/>
      <c r="F47" s="1"/>
      <c r="G47" s="1"/>
    </row>
    <row r="48" spans="1:7" ht="12.75">
      <c r="A48" t="s">
        <v>51</v>
      </c>
      <c r="B48" s="1">
        <f>115000+500000</f>
        <v>615000</v>
      </c>
      <c r="C48" s="5">
        <f>174873+15568+2000</f>
        <v>192441</v>
      </c>
      <c r="D48" s="1"/>
      <c r="E48" s="5"/>
      <c r="F48" s="1">
        <f>170000+100000+155000</f>
        <v>425000</v>
      </c>
      <c r="G48" s="1">
        <f>126000+33000+23000</f>
        <v>182000</v>
      </c>
    </row>
    <row r="49" spans="1:7" ht="12.75">
      <c r="A49" t="s">
        <v>52</v>
      </c>
      <c r="B49" s="1">
        <v>0</v>
      </c>
      <c r="C49" s="5">
        <f>35494+3626</f>
        <v>39120</v>
      </c>
      <c r="D49" s="1"/>
      <c r="E49" s="5"/>
      <c r="F49" s="1">
        <f>50000+100000</f>
        <v>150000</v>
      </c>
      <c r="G49" s="1"/>
    </row>
    <row r="50" spans="1:7" ht="12.75">
      <c r="A50" t="s">
        <v>53</v>
      </c>
      <c r="B50" s="1">
        <f>20000</f>
        <v>20000</v>
      </c>
      <c r="C50" s="5">
        <f>33058+8750+1873</f>
        <v>43681</v>
      </c>
      <c r="D50" s="1"/>
      <c r="E50" s="5"/>
      <c r="F50" s="1"/>
      <c r="G50" s="1"/>
    </row>
    <row r="51" spans="1:7" ht="12.75">
      <c r="A51" t="s">
        <v>54</v>
      </c>
      <c r="B51" s="1">
        <v>60000</v>
      </c>
      <c r="C51" s="5">
        <f>337612+2481+16450+9432+7500+3213+11074+2000+25727+10051+21981</f>
        <v>447521</v>
      </c>
      <c r="D51" s="1"/>
      <c r="E51" s="5"/>
      <c r="F51" s="1"/>
      <c r="G51" s="1"/>
    </row>
    <row r="52" spans="1:7" ht="12.75">
      <c r="A52" t="s">
        <v>55</v>
      </c>
      <c r="B52" s="1">
        <f>97856+37114+109140+113725+200000</f>
        <v>557835</v>
      </c>
      <c r="C52" s="5">
        <f>355859+12292+12292+79913+35009+46722+24507+99507</f>
        <v>666101</v>
      </c>
      <c r="D52" s="1"/>
      <c r="E52" s="5">
        <f>40000+50000</f>
        <v>90000</v>
      </c>
      <c r="F52" s="1">
        <f>200000+135000</f>
        <v>335000</v>
      </c>
      <c r="G52" s="1">
        <f>25000</f>
        <v>25000</v>
      </c>
    </row>
    <row r="53" spans="1:7" ht="12.75">
      <c r="A53" t="s">
        <v>56</v>
      </c>
      <c r="B53" s="1">
        <v>227500</v>
      </c>
      <c r="C53" s="5">
        <f>207795+2333+2333+21000+12000+127552+158019+156238+313043</f>
        <v>1000313</v>
      </c>
      <c r="D53" s="1"/>
      <c r="E53" s="5"/>
      <c r="F53" s="1"/>
      <c r="G53" s="1"/>
    </row>
    <row r="54" spans="1:7" ht="12.75">
      <c r="A54" t="s">
        <v>57</v>
      </c>
      <c r="B54" s="1">
        <f>435034+38170+241830+20000+100000</f>
        <v>835034</v>
      </c>
      <c r="C54" s="5">
        <f>403858+6045+6045+31115+297079+381734+391238+1016360+294784</f>
        <v>2828258</v>
      </c>
      <c r="D54" s="1"/>
      <c r="E54" s="5">
        <f>-5000+150000</f>
        <v>145000</v>
      </c>
      <c r="F54" s="1"/>
      <c r="G54" s="1"/>
    </row>
    <row r="55" spans="1:7" ht="12.75">
      <c r="A55" t="s">
        <v>58</v>
      </c>
      <c r="B55" s="1">
        <f>5000</f>
        <v>5000</v>
      </c>
      <c r="C55" s="5">
        <f>20000+1866</f>
        <v>21866</v>
      </c>
      <c r="D55" s="1"/>
      <c r="E55" s="5"/>
      <c r="F55" s="1"/>
      <c r="G55" s="1"/>
    </row>
    <row r="56" spans="2:7" ht="12.75">
      <c r="B56" s="1"/>
      <c r="C56" s="5"/>
      <c r="E56" s="5"/>
      <c r="F56" s="1"/>
      <c r="G56" s="1"/>
    </row>
    <row r="57" spans="1:7" ht="12.75">
      <c r="A57" t="s">
        <v>59</v>
      </c>
      <c r="B57" s="1">
        <f aca="true" t="shared" si="0" ref="B57:G57">SUM(B6:B55)</f>
        <v>26051687</v>
      </c>
      <c r="C57" s="5">
        <f t="shared" si="0"/>
        <v>33550502</v>
      </c>
      <c r="D57" s="1">
        <f t="shared" si="0"/>
        <v>1070065</v>
      </c>
      <c r="E57" s="5">
        <f t="shared" si="0"/>
        <v>1141770</v>
      </c>
      <c r="F57" s="10">
        <f t="shared" si="0"/>
        <v>5034500</v>
      </c>
      <c r="G57" s="10">
        <f t="shared" si="0"/>
        <v>496259</v>
      </c>
    </row>
  </sheetData>
  <printOptions/>
  <pageMargins left="0.5" right="0.5" top="0.5" bottom="0.5" header="0.5" footer="0.5"/>
  <pageSetup horizontalDpi="1200" verticalDpi="12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2004-10-25T13:16:47Z</cp:lastPrinted>
  <dcterms:created xsi:type="dcterms:W3CDTF">2004-10-25T13:14:33Z</dcterms:created>
  <dcterms:modified xsi:type="dcterms:W3CDTF">2004-10-25T13:17:16Z</dcterms:modified>
  <cp:category/>
  <cp:version/>
  <cp:contentType/>
  <cp:contentStatus/>
</cp:coreProperties>
</file>